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49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H31" i="1"/>
  <c r="H29"/>
  <c r="H28"/>
  <c r="H25"/>
  <c r="H24"/>
  <c r="H9"/>
  <c r="H7"/>
  <c r="H5"/>
  <c r="H6"/>
  <c r="H12"/>
  <c r="H10"/>
  <c r="H33"/>
  <c r="H35"/>
  <c r="H26"/>
  <c r="H8"/>
  <c r="H17"/>
  <c r="C19"/>
  <c r="H19"/>
  <c r="H20"/>
  <c r="H21"/>
  <c r="I23"/>
  <c r="I24"/>
  <c r="I31"/>
  <c r="I33"/>
  <c r="I35"/>
  <c r="I36"/>
  <c r="I37"/>
  <c r="H37"/>
  <c r="H27"/>
  <c r="I21"/>
  <c r="C20"/>
  <c r="C18"/>
  <c r="I29"/>
  <c r="I10"/>
  <c r="C32"/>
</calcChain>
</file>

<file path=xl/sharedStrings.xml><?xml version="1.0" encoding="utf-8"?>
<sst xmlns="http://schemas.openxmlformats.org/spreadsheetml/2006/main" count="70" uniqueCount="53">
  <si>
    <t>Zjistěte cenu doskočiště na míru – přesně podle Vašich potřeb</t>
  </si>
  <si>
    <t xml:space="preserve">Vyplňte červená políčka dle nabídky, která se zobrazí, pokud na políčko kliknete </t>
  </si>
  <si>
    <t>a následně zmáčknete šipku vpravo pomocí levého tlačítka.</t>
  </si>
  <si>
    <t>Díly:</t>
  </si>
  <si>
    <t>Rozměr doskočiště</t>
  </si>
  <si>
    <t>Délka</t>
  </si>
  <si>
    <t>m</t>
  </si>
  <si>
    <t>Molitan</t>
  </si>
  <si>
    <t>Šířka</t>
  </si>
  <si>
    <t>Látka</t>
  </si>
  <si>
    <t>Výška</t>
  </si>
  <si>
    <t>Suchý zip</t>
  </si>
  <si>
    <t>Popruh</t>
  </si>
  <si>
    <t>Spodní potahová látka</t>
  </si>
  <si>
    <t>Šedý protiskluz</t>
  </si>
  <si>
    <t>Šití</t>
  </si>
  <si>
    <t>Lepení, oblékání, balení</t>
  </si>
  <si>
    <t>Horní potahová látka</t>
  </si>
  <si>
    <t>Plastel - omyvatelný</t>
  </si>
  <si>
    <t>Rohy</t>
  </si>
  <si>
    <t>Zpěvněné rohy</t>
  </si>
  <si>
    <t>Ne</t>
  </si>
  <si>
    <t>Chyty pro přenos doskočiště</t>
  </si>
  <si>
    <t>Ano</t>
  </si>
  <si>
    <t>Počet dílů, ze který má být doskočiště sestaveno</t>
  </si>
  <si>
    <t>Šířka/délka</t>
  </si>
  <si>
    <t>Rozměr 1 dílu bude:</t>
  </si>
  <si>
    <t>Výška dílu</t>
  </si>
  <si>
    <t>Dopadová deka na doskočiště</t>
  </si>
  <si>
    <t>Bez dopadové deky</t>
  </si>
  <si>
    <t>DD:</t>
  </si>
  <si>
    <t>Spojení dílů „Eurostar“ - širokými suchými zipy</t>
  </si>
  <si>
    <t>Scrim</t>
  </si>
  <si>
    <t>Plachta proti dešti</t>
  </si>
  <si>
    <t>Rošt pod doskočiště</t>
  </si>
  <si>
    <t>Bez roštu</t>
  </si>
  <si>
    <t>Pojízdná stříška na doskočiště</t>
  </si>
  <si>
    <t>Cena doskočiště vč. DPH</t>
  </si>
  <si>
    <t>Eurostar</t>
  </si>
  <si>
    <t>Ostatní rozměry Vám rádi naceníme dle Vašich požadavků.</t>
  </si>
  <si>
    <t>Atletická doskočiště na skok o tyči a do výšky jsou uvedeny v samostatném ceníku.</t>
  </si>
  <si>
    <t>Rošt</t>
  </si>
  <si>
    <t xml:space="preserve">Cena obsahuje také balení do igelitového potahu pro transport žíněnky. </t>
  </si>
  <si>
    <t>Stříška</t>
  </si>
  <si>
    <t>Cena neobsahuje dopravné – EXW Plzeň.</t>
  </si>
  <si>
    <t>Dopravu můžeme zajistit – cena dle tabulek firmy TOPTRANS.</t>
  </si>
  <si>
    <t>Objednávky můžete posílat na mail:</t>
  </si>
  <si>
    <t>lasport@volny.cz</t>
  </si>
  <si>
    <t xml:space="preserve">Technické dotazy na čísle: </t>
  </si>
  <si>
    <t xml:space="preserve">Vyrábí: </t>
  </si>
  <si>
    <t>LA Sport s.r.o., Lísková 13, 312 00 Plzeň</t>
  </si>
  <si>
    <t>Sklad a výroba:</t>
  </si>
  <si>
    <t>Šťáhlavy 726, 323 03 Šťáhlavy – Svidná</t>
  </si>
</sst>
</file>

<file path=xl/styles.xml><?xml version="1.0" encoding="utf-8"?>
<styleSheet xmlns="http://schemas.openxmlformats.org/spreadsheetml/2006/main">
  <numFmts count="2">
    <numFmt numFmtId="164" formatCode="&quot;PRAVDA&quot;;&quot;PRAVDA&quot;;&quot;NEPRAVDA&quot;"/>
    <numFmt numFmtId="165" formatCode="#,##0;[Red]\-#,##0"/>
  </numFmts>
  <fonts count="12"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5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13"/>
      </patternFill>
    </fill>
    <fill>
      <patternFill patternType="solid">
        <fgColor indexed="10"/>
        <bgColor indexed="5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0" xfId="0" applyFont="1" applyFill="1" applyProtection="1"/>
    <xf numFmtId="0" fontId="0" fillId="3" borderId="0" xfId="0" applyFill="1"/>
    <xf numFmtId="0" fontId="0" fillId="3" borderId="0" xfId="0" applyFont="1" applyFill="1" applyProtection="1"/>
    <xf numFmtId="0" fontId="3" fillId="3" borderId="0" xfId="0" applyFont="1" applyFill="1"/>
    <xf numFmtId="0" fontId="3" fillId="4" borderId="0" xfId="0" applyFont="1" applyFill="1" applyAlignment="1" applyProtection="1">
      <alignment horizontal="right"/>
    </xf>
    <xf numFmtId="164" fontId="3" fillId="4" borderId="0" xfId="0" applyNumberFormat="1" applyFont="1" applyFill="1" applyAlignment="1" applyProtection="1">
      <alignment horizontal="right"/>
    </xf>
    <xf numFmtId="0" fontId="4" fillId="0" borderId="0" xfId="0" applyFont="1"/>
    <xf numFmtId="0" fontId="5" fillId="2" borderId="0" xfId="0" applyFont="1" applyFill="1"/>
    <xf numFmtId="0" fontId="4" fillId="2" borderId="0" xfId="0" applyFont="1" applyFill="1"/>
    <xf numFmtId="0" fontId="0" fillId="2" borderId="0" xfId="0" applyFill="1"/>
    <xf numFmtId="0" fontId="1" fillId="2" borderId="0" xfId="0" applyNumberFormat="1" applyFont="1" applyFill="1"/>
    <xf numFmtId="0" fontId="6" fillId="5" borderId="0" xfId="0" applyFont="1" applyFill="1"/>
    <xf numFmtId="4" fontId="6" fillId="5" borderId="0" xfId="0" applyNumberFormat="1" applyFont="1" applyFill="1"/>
    <xf numFmtId="0" fontId="2" fillId="5" borderId="0" xfId="0" applyFont="1" applyFill="1"/>
    <xf numFmtId="0" fontId="3" fillId="5" borderId="0" xfId="0" applyFont="1" applyFill="1"/>
    <xf numFmtId="0" fontId="0" fillId="5" borderId="0" xfId="0" applyFill="1"/>
    <xf numFmtId="165" fontId="3" fillId="5" borderId="0" xfId="0" applyNumberFormat="1" applyFont="1" applyFill="1"/>
    <xf numFmtId="0" fontId="0" fillId="6" borderId="0" xfId="0" applyFont="1" applyFill="1"/>
    <xf numFmtId="0" fontId="7" fillId="6" borderId="0" xfId="0" applyFont="1" applyFill="1" applyProtection="1"/>
    <xf numFmtId="0" fontId="8" fillId="6" borderId="0" xfId="0" applyFont="1" applyFill="1" applyProtection="1"/>
    <xf numFmtId="0" fontId="9" fillId="6" borderId="0" xfId="0" applyFont="1" applyFill="1"/>
    <xf numFmtId="0" fontId="0" fillId="6" borderId="0" xfId="0" applyFill="1" applyAlignment="1">
      <alignment horizontal="left"/>
    </xf>
    <xf numFmtId="0" fontId="10" fillId="0" borderId="0" xfId="0" applyFont="1"/>
    <xf numFmtId="0" fontId="10" fillId="2" borderId="0" xfId="0" applyFont="1" applyFill="1"/>
    <xf numFmtId="0" fontId="11" fillId="2" borderId="0" xfId="0" applyFont="1" applyFill="1"/>
    <xf numFmtId="0" fontId="11" fillId="2" borderId="0" xfId="0" applyNumberFormat="1" applyFont="1" applyFill="1"/>
    <xf numFmtId="0" fontId="10" fillId="2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13</xdr:row>
      <xdr:rowOff>28575</xdr:rowOff>
    </xdr:from>
    <xdr:to>
      <xdr:col>10</xdr:col>
      <xdr:colOff>742950</xdr:colOff>
      <xdr:row>22</xdr:row>
      <xdr:rowOff>95250</xdr:rowOff>
    </xdr:to>
    <xdr:pic>
      <xdr:nvPicPr>
        <xdr:cNvPr id="1046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81550" y="2400300"/>
          <a:ext cx="2219325" cy="1752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171450</xdr:colOff>
      <xdr:row>8</xdr:row>
      <xdr:rowOff>85725</xdr:rowOff>
    </xdr:from>
    <xdr:to>
      <xdr:col>10</xdr:col>
      <xdr:colOff>742950</xdr:colOff>
      <xdr:row>10</xdr:row>
      <xdr:rowOff>133350</xdr:rowOff>
    </xdr:to>
    <xdr:pic>
      <xdr:nvPicPr>
        <xdr:cNvPr id="1047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14875" y="1533525"/>
          <a:ext cx="2286000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2</xdr:col>
      <xdr:colOff>1285875</xdr:colOff>
      <xdr:row>37</xdr:row>
      <xdr:rowOff>38100</xdr:rowOff>
    </xdr:from>
    <xdr:to>
      <xdr:col>10</xdr:col>
      <xdr:colOff>762000</xdr:colOff>
      <xdr:row>44</xdr:row>
      <xdr:rowOff>76200</xdr:rowOff>
    </xdr:to>
    <xdr:pic>
      <xdr:nvPicPr>
        <xdr:cNvPr id="1048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210050" y="6886575"/>
          <a:ext cx="2809875" cy="1171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sport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workbookViewId="0">
      <selection activeCell="A22" sqref="A22"/>
    </sheetView>
  </sheetViews>
  <sheetFormatPr defaultColWidth="11.5703125" defaultRowHeight="12.75"/>
  <cols>
    <col min="1" max="1" width="25.5703125" customWidth="1"/>
    <col min="2" max="2" width="18.28515625" customWidth="1"/>
    <col min="3" max="3" width="24.28515625" customWidth="1"/>
    <col min="4" max="4" width="3.42578125" customWidth="1"/>
    <col min="5" max="5" width="10.42578125" customWidth="1"/>
    <col min="6" max="6" width="12.140625" hidden="1" customWidth="1"/>
    <col min="7" max="7" width="8.7109375" style="1" hidden="1" customWidth="1"/>
    <col min="8" max="8" width="8.85546875" style="1" hidden="1" customWidth="1"/>
    <col min="9" max="9" width="8.7109375" style="1" hidden="1" customWidth="1"/>
    <col min="10" max="10" width="11.85546875" style="1" customWidth="1"/>
    <col min="11" max="28" width="11.5703125" style="2"/>
  </cols>
  <sheetData>
    <row r="1" spans="1:9" ht="15.75">
      <c r="A1" s="3" t="s">
        <v>0</v>
      </c>
      <c r="B1" s="4"/>
      <c r="C1" s="4"/>
      <c r="D1" s="4"/>
      <c r="E1" s="4"/>
      <c r="F1" s="25"/>
      <c r="G1" s="26"/>
      <c r="H1" s="26"/>
      <c r="I1" s="26"/>
    </row>
    <row r="2" spans="1:9">
      <c r="A2" s="5" t="s">
        <v>1</v>
      </c>
      <c r="B2" s="4"/>
      <c r="C2" s="4"/>
      <c r="D2" s="4"/>
      <c r="E2" s="4"/>
      <c r="F2" s="25"/>
      <c r="G2" s="26"/>
      <c r="H2" s="26"/>
      <c r="I2" s="26"/>
    </row>
    <row r="3" spans="1:9">
      <c r="A3" s="5" t="s">
        <v>2</v>
      </c>
      <c r="B3" s="4"/>
      <c r="C3" s="4"/>
      <c r="D3" s="4"/>
      <c r="E3" s="4"/>
      <c r="F3" s="25"/>
      <c r="G3" s="26"/>
      <c r="H3" s="26"/>
      <c r="I3" s="26"/>
    </row>
    <row r="4" spans="1:9">
      <c r="F4" s="25"/>
      <c r="G4" s="26" t="s">
        <v>3</v>
      </c>
      <c r="H4" s="26"/>
      <c r="I4" s="26"/>
    </row>
    <row r="5" spans="1:9" ht="15.75">
      <c r="A5" s="6" t="s">
        <v>4</v>
      </c>
      <c r="B5" s="6" t="s">
        <v>5</v>
      </c>
      <c r="C5" s="7">
        <v>5</v>
      </c>
      <c r="D5" s="6" t="s">
        <v>6</v>
      </c>
      <c r="E5" s="4"/>
      <c r="F5" s="25"/>
      <c r="G5" s="26" t="s">
        <v>7</v>
      </c>
      <c r="H5" s="26">
        <f>C18*C19*C20*0.8*2850</f>
        <v>20520</v>
      </c>
      <c r="I5" s="26"/>
    </row>
    <row r="6" spans="1:9" ht="15.75">
      <c r="A6" s="6"/>
      <c r="B6" s="6" t="s">
        <v>8</v>
      </c>
      <c r="C6" s="7">
        <v>3</v>
      </c>
      <c r="D6" s="6" t="s">
        <v>6</v>
      </c>
      <c r="E6" s="4"/>
      <c r="F6" s="25"/>
      <c r="G6" s="26" t="s">
        <v>9</v>
      </c>
      <c r="H6" s="26">
        <f>((C18+(C20/2+0.05))*(C19+(C20/2+0.05)))*2*82</f>
        <v>2939.29</v>
      </c>
      <c r="I6" s="26"/>
    </row>
    <row r="7" spans="1:9" ht="15.75">
      <c r="A7" s="6"/>
      <c r="B7" s="6" t="s">
        <v>10</v>
      </c>
      <c r="C7" s="7">
        <v>0.6</v>
      </c>
      <c r="D7" s="6" t="s">
        <v>6</v>
      </c>
      <c r="E7" s="4"/>
      <c r="F7" s="25"/>
      <c r="G7" s="26" t="s">
        <v>11</v>
      </c>
      <c r="H7" s="26">
        <f>2*(C18+C19)*25</f>
        <v>400</v>
      </c>
      <c r="I7" s="26"/>
    </row>
    <row r="8" spans="1:9">
      <c r="F8" s="25"/>
      <c r="G8" s="26" t="s">
        <v>12</v>
      </c>
      <c r="H8" s="26">
        <f>2*(C19+C18)*11</f>
        <v>176</v>
      </c>
      <c r="I8" s="26"/>
    </row>
    <row r="9" spans="1:9" ht="15.75">
      <c r="A9" s="4" t="s">
        <v>13</v>
      </c>
      <c r="B9" s="4"/>
      <c r="C9" s="8" t="s">
        <v>14</v>
      </c>
      <c r="D9" s="4"/>
      <c r="E9" s="4"/>
      <c r="F9" s="25"/>
      <c r="G9" s="26" t="s">
        <v>15</v>
      </c>
      <c r="H9" s="26">
        <f>2*(C18+C19)*150</f>
        <v>2400</v>
      </c>
      <c r="I9" s="26"/>
    </row>
    <row r="10" spans="1:9">
      <c r="C10" s="9"/>
      <c r="D10" s="4"/>
      <c r="E10" s="4"/>
      <c r="F10" s="25"/>
      <c r="G10" s="26" t="s">
        <v>16</v>
      </c>
      <c r="H10" s="26">
        <f>(C19+C18)*150</f>
        <v>1200</v>
      </c>
      <c r="I10" s="27">
        <f>SUM(H5:H10)*C17</f>
        <v>27635.29</v>
      </c>
    </row>
    <row r="11" spans="1:9" ht="15.75">
      <c r="A11" s="4" t="s">
        <v>17</v>
      </c>
      <c r="B11" s="4"/>
      <c r="C11" s="8" t="s">
        <v>18</v>
      </c>
      <c r="D11" s="4"/>
      <c r="E11" s="4"/>
      <c r="F11" s="25"/>
      <c r="G11" s="26"/>
      <c r="H11" s="26"/>
      <c r="I11" s="26"/>
    </row>
    <row r="12" spans="1:9">
      <c r="C12" s="11"/>
      <c r="D12" s="12"/>
      <c r="E12" s="12"/>
      <c r="F12" s="25"/>
      <c r="G12" s="26" t="s">
        <v>19</v>
      </c>
      <c r="H12" s="28">
        <f>IF(C13="Ano",250,0)*C17</f>
        <v>0</v>
      </c>
      <c r="I12" s="26"/>
    </row>
    <row r="13" spans="1:9" ht="15.75">
      <c r="A13" s="4" t="s">
        <v>20</v>
      </c>
      <c r="B13" s="4"/>
      <c r="C13" s="7" t="s">
        <v>21</v>
      </c>
      <c r="D13" s="4"/>
      <c r="E13" s="4"/>
      <c r="F13" s="25"/>
      <c r="G13" s="26"/>
      <c r="H13" s="26"/>
      <c r="I13" s="26"/>
    </row>
    <row r="14" spans="1:9">
      <c r="C14" s="9"/>
      <c r="D14" s="12"/>
      <c r="E14" s="12"/>
      <c r="F14" s="25"/>
      <c r="G14" s="26"/>
      <c r="H14" s="26"/>
      <c r="I14" s="26"/>
    </row>
    <row r="15" spans="1:9" ht="15.75">
      <c r="A15" s="4" t="s">
        <v>22</v>
      </c>
      <c r="B15" s="4"/>
      <c r="C15" s="7" t="s">
        <v>23</v>
      </c>
      <c r="D15" s="4"/>
      <c r="E15" s="4"/>
      <c r="F15" s="25"/>
      <c r="G15" s="26"/>
      <c r="H15" s="26"/>
      <c r="I15" s="26"/>
    </row>
    <row r="16" spans="1:9">
      <c r="A16" s="12"/>
      <c r="B16" s="12"/>
      <c r="C16" s="9"/>
      <c r="D16" s="12"/>
      <c r="E16" s="12"/>
      <c r="F16" s="25"/>
      <c r="G16" s="26"/>
      <c r="H16" s="26"/>
      <c r="I16" s="26"/>
    </row>
    <row r="17" spans="1:9" ht="15.75">
      <c r="A17" s="4" t="s">
        <v>24</v>
      </c>
      <c r="B17" s="4"/>
      <c r="C17" s="7">
        <v>1</v>
      </c>
      <c r="D17" s="4"/>
      <c r="E17" s="4"/>
      <c r="F17" s="25"/>
      <c r="G17" s="26" t="s">
        <v>25</v>
      </c>
      <c r="H17" s="29">
        <f>IF(C17=4,2,1)</f>
        <v>1</v>
      </c>
      <c r="I17" s="26"/>
    </row>
    <row r="18" spans="1:9" ht="15.75">
      <c r="A18" s="14" t="s">
        <v>26</v>
      </c>
      <c r="B18" s="14" t="s">
        <v>5</v>
      </c>
      <c r="C18" s="15">
        <f>C5/C17*H17</f>
        <v>5</v>
      </c>
      <c r="D18" s="14" t="s">
        <v>6</v>
      </c>
      <c r="E18" s="16"/>
      <c r="F18" s="25"/>
      <c r="G18" s="26"/>
      <c r="H18" s="26"/>
      <c r="I18" s="26"/>
    </row>
    <row r="19" spans="1:9" ht="15.75">
      <c r="A19" s="14"/>
      <c r="B19" s="14" t="s">
        <v>8</v>
      </c>
      <c r="C19" s="15">
        <f>C6/H17</f>
        <v>3</v>
      </c>
      <c r="D19" s="14" t="s">
        <v>6</v>
      </c>
      <c r="E19" s="16"/>
      <c r="F19" s="25"/>
      <c r="G19" s="26" t="s">
        <v>27</v>
      </c>
      <c r="H19" s="29">
        <f>IF(C22="5cm molitan",5,0)</f>
        <v>0</v>
      </c>
      <c r="I19" s="26"/>
    </row>
    <row r="20" spans="1:9" ht="15.75">
      <c r="A20" s="14"/>
      <c r="B20" s="14" t="s">
        <v>10</v>
      </c>
      <c r="C20" s="15">
        <f>C7-I21</f>
        <v>0.6</v>
      </c>
      <c r="D20" s="14" t="s">
        <v>6</v>
      </c>
      <c r="E20" s="16"/>
      <c r="F20" s="25"/>
      <c r="G20" s="26"/>
      <c r="H20" s="29">
        <f>IF(C22="7cm molitan",7,0)</f>
        <v>0</v>
      </c>
      <c r="I20" s="26"/>
    </row>
    <row r="21" spans="1:9">
      <c r="A21" s="12"/>
      <c r="B21" s="12"/>
      <c r="C21" s="9"/>
      <c r="D21" s="12"/>
      <c r="E21" s="12"/>
      <c r="F21" s="25"/>
      <c r="G21" s="26"/>
      <c r="H21" s="29">
        <f>IF(C22="10cm molitan",10,0)</f>
        <v>0</v>
      </c>
      <c r="I21" s="26">
        <f>SUM(H19:H21)/100</f>
        <v>0</v>
      </c>
    </row>
    <row r="22" spans="1:9" ht="15.75">
      <c r="A22" s="4" t="s">
        <v>28</v>
      </c>
      <c r="B22" s="4"/>
      <c r="C22" s="7" t="s">
        <v>29</v>
      </c>
      <c r="D22" s="4"/>
      <c r="E22" s="4"/>
      <c r="F22" s="25"/>
      <c r="G22" s="26"/>
      <c r="H22" s="29"/>
      <c r="I22" s="26"/>
    </row>
    <row r="23" spans="1:9">
      <c r="A23" s="12"/>
      <c r="B23" s="12"/>
      <c r="C23" s="9"/>
      <c r="D23" s="12"/>
      <c r="E23" s="12"/>
      <c r="F23" s="25"/>
      <c r="G23" s="26" t="s">
        <v>30</v>
      </c>
      <c r="H23" s="26"/>
      <c r="I23" s="29">
        <f>IF(C22="Bez dopadové deky",0,1)</f>
        <v>0</v>
      </c>
    </row>
    <row r="24" spans="1:9" ht="15.75">
      <c r="A24" s="4" t="s">
        <v>31</v>
      </c>
      <c r="B24" s="4"/>
      <c r="C24" s="7" t="s">
        <v>21</v>
      </c>
      <c r="D24" s="4"/>
      <c r="E24" s="4"/>
      <c r="F24" s="25"/>
      <c r="G24" s="26" t="s">
        <v>7</v>
      </c>
      <c r="H24" s="26">
        <f>SUM(H19:H21)/100*C5*C6*4150</f>
        <v>0</v>
      </c>
      <c r="I24" s="29">
        <f>IF(C22="Bez molitanu",1,2)</f>
        <v>2</v>
      </c>
    </row>
    <row r="25" spans="1:9">
      <c r="A25" s="12"/>
      <c r="B25" s="12"/>
      <c r="C25" s="9"/>
      <c r="D25" s="12"/>
      <c r="E25" s="12"/>
      <c r="F25" s="25"/>
      <c r="G25" s="26" t="s">
        <v>32</v>
      </c>
      <c r="H25" s="29">
        <f>(C5+0.05)*(C6+0.05)*I23*I24*66+(-1*(I24-2)*(C5+C6)*2*(C7)*83)</f>
        <v>0</v>
      </c>
      <c r="I25" s="29"/>
    </row>
    <row r="26" spans="1:9" ht="15.75">
      <c r="A26" s="4" t="s">
        <v>33</v>
      </c>
      <c r="B26" s="4"/>
      <c r="C26" s="7" t="s">
        <v>21</v>
      </c>
      <c r="D26" s="4"/>
      <c r="E26" s="4"/>
      <c r="F26" s="25"/>
      <c r="G26" s="26" t="s">
        <v>12</v>
      </c>
      <c r="H26" s="26">
        <f>(C5+C6)*22*I23</f>
        <v>0</v>
      </c>
      <c r="I26" s="26"/>
    </row>
    <row r="27" spans="1:9">
      <c r="A27" s="12"/>
      <c r="B27" s="12"/>
      <c r="C27" s="9"/>
      <c r="D27" s="12"/>
      <c r="E27" s="12"/>
      <c r="F27" s="25"/>
      <c r="G27" s="26" t="s">
        <v>11</v>
      </c>
      <c r="H27" s="26">
        <f>H26*2*I23</f>
        <v>0</v>
      </c>
      <c r="I27" s="26"/>
    </row>
    <row r="28" spans="1:9" ht="15.75">
      <c r="A28" s="4" t="s">
        <v>34</v>
      </c>
      <c r="B28" s="4"/>
      <c r="C28" s="7" t="s">
        <v>35</v>
      </c>
      <c r="D28" s="4"/>
      <c r="E28" s="4"/>
      <c r="F28" s="25"/>
      <c r="G28" s="26" t="s">
        <v>15</v>
      </c>
      <c r="H28" s="26">
        <f>(C5+C6)*150*I23</f>
        <v>0</v>
      </c>
      <c r="I28" s="26"/>
    </row>
    <row r="29" spans="1:9">
      <c r="A29" s="12"/>
      <c r="B29" s="12"/>
      <c r="C29" s="9"/>
      <c r="D29" s="12"/>
      <c r="E29" s="12"/>
      <c r="F29" s="25"/>
      <c r="G29" s="26" t="s">
        <v>16</v>
      </c>
      <c r="H29" s="26">
        <f>(C5*C6/4*250+110)*I23</f>
        <v>0</v>
      </c>
      <c r="I29" s="27">
        <f>SUM(H24:H29)</f>
        <v>0</v>
      </c>
    </row>
    <row r="30" spans="1:9" ht="15.75">
      <c r="A30" s="4" t="s">
        <v>36</v>
      </c>
      <c r="B30" s="4"/>
      <c r="C30" s="7" t="s">
        <v>21</v>
      </c>
      <c r="D30" s="4"/>
      <c r="E30" s="4"/>
      <c r="F30" s="25"/>
      <c r="G30" s="26"/>
      <c r="H30" s="26"/>
      <c r="I30" s="26"/>
    </row>
    <row r="31" spans="1:9">
      <c r="F31" s="25"/>
      <c r="G31" s="26" t="s">
        <v>33</v>
      </c>
      <c r="H31" s="27">
        <f>(C5+C7)*(C6+C7)*90*2*I31</f>
        <v>0</v>
      </c>
      <c r="I31" s="29">
        <f>IF(C26="Ano",1,0)</f>
        <v>0</v>
      </c>
    </row>
    <row r="32" spans="1:9" ht="15.75">
      <c r="A32" s="17" t="s">
        <v>37</v>
      </c>
      <c r="B32" s="18"/>
      <c r="C32" s="19">
        <f>(I10+H12+I29+H31+H33+H35+H37)*1.21/0.8/0.75</f>
        <v>55731.16816666667</v>
      </c>
      <c r="D32" s="18"/>
      <c r="E32" s="18"/>
      <c r="F32" s="25"/>
      <c r="G32" s="26"/>
      <c r="H32" s="26"/>
      <c r="I32" s="26"/>
    </row>
    <row r="33" spans="1:9">
      <c r="G33" s="1" t="s">
        <v>38</v>
      </c>
      <c r="H33" s="10">
        <f>(C17-1)*C19*110*I33</f>
        <v>0</v>
      </c>
      <c r="I33" s="13">
        <f>IF(C24="Ano",1,0)</f>
        <v>0</v>
      </c>
    </row>
    <row r="34" spans="1:9" ht="19.5">
      <c r="A34" s="20" t="s">
        <v>39</v>
      </c>
      <c r="B34" s="21"/>
      <c r="C34" s="22"/>
      <c r="D34" s="21"/>
      <c r="E34" s="21"/>
    </row>
    <row r="35" spans="1:9" ht="19.5">
      <c r="A35" s="20" t="s">
        <v>40</v>
      </c>
      <c r="B35" s="21"/>
      <c r="C35" s="22"/>
      <c r="D35" s="21"/>
      <c r="E35" s="21"/>
      <c r="G35" s="1" t="s">
        <v>41</v>
      </c>
      <c r="H35" s="10">
        <f>(C5*C6)*600*(I35*0.75+I36)</f>
        <v>0</v>
      </c>
      <c r="I35" s="13">
        <f>IF(C28="Integrovaný rošt",1,0)</f>
        <v>0</v>
      </c>
    </row>
    <row r="36" spans="1:9">
      <c r="I36" s="13">
        <f>IF(C28="Ocelový rošt",1,0)</f>
        <v>0</v>
      </c>
    </row>
    <row r="37" spans="1:9">
      <c r="A37" s="20" t="s">
        <v>42</v>
      </c>
      <c r="B37" s="20"/>
      <c r="C37" s="20"/>
      <c r="D37" s="20"/>
      <c r="E37" s="20"/>
      <c r="G37" s="1" t="s">
        <v>43</v>
      </c>
      <c r="H37" s="10">
        <f>(15000+(C5*C6)*1700)*I37</f>
        <v>0</v>
      </c>
      <c r="I37" s="13">
        <f>IF(C30="Ano",1,0)</f>
        <v>0</v>
      </c>
    </row>
    <row r="38" spans="1:9">
      <c r="A38" s="20" t="s">
        <v>44</v>
      </c>
      <c r="B38" s="20"/>
      <c r="C38" s="20"/>
      <c r="D38" s="20"/>
      <c r="E38" s="20"/>
    </row>
    <row r="39" spans="1:9">
      <c r="A39" s="20" t="s">
        <v>45</v>
      </c>
      <c r="B39" s="20"/>
      <c r="C39" s="20"/>
      <c r="D39" s="20"/>
      <c r="E39" s="20"/>
    </row>
    <row r="41" spans="1:9">
      <c r="A41" s="20" t="s">
        <v>46</v>
      </c>
      <c r="B41" s="20"/>
      <c r="C41" s="23" t="s">
        <v>47</v>
      </c>
      <c r="D41" s="20"/>
      <c r="E41" s="20"/>
    </row>
    <row r="42" spans="1:9">
      <c r="A42" s="20" t="s">
        <v>48</v>
      </c>
      <c r="B42" s="20"/>
      <c r="C42" s="24">
        <v>608703331</v>
      </c>
      <c r="D42" s="20"/>
      <c r="E42" s="20"/>
    </row>
    <row r="43" spans="1:9">
      <c r="A43" s="20"/>
      <c r="B43" s="20"/>
      <c r="C43" s="20"/>
      <c r="D43" s="20"/>
      <c r="E43" s="20"/>
    </row>
    <row r="44" spans="1:9">
      <c r="A44" s="20" t="s">
        <v>49</v>
      </c>
      <c r="B44" s="20" t="s">
        <v>50</v>
      </c>
      <c r="C44" s="20"/>
      <c r="D44" s="20"/>
      <c r="E44" s="20"/>
    </row>
    <row r="45" spans="1:9">
      <c r="A45" s="20" t="s">
        <v>51</v>
      </c>
      <c r="B45" s="20" t="s">
        <v>52</v>
      </c>
      <c r="C45" s="20"/>
      <c r="D45" s="20"/>
      <c r="E45" s="20"/>
    </row>
  </sheetData>
  <sheetProtection selectLockedCells="1" selectUnlockedCells="1"/>
  <dataValidations count="9">
    <dataValidation type="list" operator="equal" sqref="C7">
      <formula1>"0,20,0,25,0,30,0,35,0,40,0,50,0,55,0,60,0,65,0,70"</formula1>
      <formula2>0</formula2>
    </dataValidation>
    <dataValidation type="list" operator="equal" allowBlank="1" sqref="C9">
      <formula1>"Šedý protiskluz,Plastel (dle barevnice),Modrý protiskluz,Červený protiskluz,"</formula1>
      <formula2>0</formula2>
    </dataValidation>
    <dataValidation type="list" operator="equal" allowBlank="1" sqref="C11">
      <formula1>"Scrim Sport - síťovina,Plastel - omyvatelný"</formula1>
      <formula2>0</formula2>
    </dataValidation>
    <dataValidation type="list" operator="equal" allowBlank="1" sqref="C13 C15 C24 C26 C30">
      <formula1>"Ano,Ne"</formula1>
      <formula2>0</formula2>
    </dataValidation>
    <dataValidation type="list" operator="equal" allowBlank="1" sqref="C17">
      <formula1>"1,2,3,4"</formula1>
      <formula2>0</formula2>
    </dataValidation>
    <dataValidation type="list" operator="equal" sqref="C5">
      <formula1>"2,2,5,3,4,5,6"</formula1>
      <formula2>0</formula2>
    </dataValidation>
    <dataValidation type="list" operator="equal" allowBlank="1" sqref="C22">
      <formula1>"Bez dopadové deky,Bez molitanu,5cm molitan,7cm molitan,10cm molitan,"</formula1>
      <formula2>0</formula2>
    </dataValidation>
    <dataValidation type="list" operator="equal" sqref="C6">
      <formula1>"1,1,5,1,67,1,7,2,2,5,3,3,5,4"</formula1>
      <formula2>0</formula2>
    </dataValidation>
    <dataValidation type="list" operator="equal" allowBlank="1" sqref="C28">
      <formula1>"Bez roštu,Integrovaný rošt,Ocelový rošt"</formula1>
      <formula2>0</formula2>
    </dataValidation>
  </dataValidations>
  <hyperlinks>
    <hyperlink ref="C41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Roman,obyčejné"&amp;12&amp;A</oddHeader>
    <oddFooter>&amp;C&amp;"Times New Roman,obyčejné"&amp;12Stránka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Škaloud</dc:creator>
  <cp:lastModifiedBy>Dell</cp:lastModifiedBy>
  <dcterms:created xsi:type="dcterms:W3CDTF">2017-07-24T12:21:47Z</dcterms:created>
  <dcterms:modified xsi:type="dcterms:W3CDTF">2019-01-08T18:34:18Z</dcterms:modified>
</cp:coreProperties>
</file>